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3 materials (in progress)/Course Notes/Other files/"/>
    </mc:Choice>
  </mc:AlternateContent>
  <xr:revisionPtr revIDLastSave="8" documentId="8_{56BD72B7-D2F8-4A83-BE3F-BD5A29A118E5}" xr6:coauthVersionLast="47" xr6:coauthVersionMax="47" xr10:uidLastSave="{23C000C0-D8AA-4E17-ABA7-65B43A0D5258}"/>
  <bookViews>
    <workbookView xWindow="-120" yWindow="-120" windowWidth="29040" windowHeight="15840" xr2:uid="{00000000-000D-0000-FFFF-FFFF00000000}"/>
  </bookViews>
  <sheets>
    <sheet name="RawData" sheetId="10" r:id="rId1"/>
    <sheet name="CleanData" sheetId="9" r:id="rId2"/>
    <sheet name="Parameters" sheetId="4" r:id="rId3"/>
    <sheet name="Scenario1" sheetId="1" r:id="rId4"/>
    <sheet name="Scenario2" sheetId="11" r:id="rId5"/>
    <sheet name="Scenario3" sheetId="12" r:id="rId6"/>
    <sheet name="Table" sheetId="5" r:id="rId7"/>
    <sheet name="Graph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A6" i="3" l="1"/>
  <c r="A9" i="3"/>
  <c r="A5" i="3"/>
  <c r="C6" i="12"/>
  <c r="C5" i="12"/>
  <c r="C4" i="12"/>
  <c r="C10" i="12" s="1"/>
  <c r="C17" i="12"/>
  <c r="B17" i="12"/>
  <c r="A17" i="12"/>
  <c r="D17" i="12" s="1"/>
  <c r="D16" i="12"/>
  <c r="C16" i="12"/>
  <c r="B16" i="12"/>
  <c r="A16" i="12"/>
  <c r="C15" i="12"/>
  <c r="B15" i="12"/>
  <c r="A15" i="12"/>
  <c r="D15" i="12" s="1"/>
  <c r="D14" i="12"/>
  <c r="C14" i="12"/>
  <c r="B14" i="12"/>
  <c r="A14" i="12"/>
  <c r="C13" i="12"/>
  <c r="B13" i="12"/>
  <c r="A13" i="12"/>
  <c r="D13" i="12" s="1"/>
  <c r="C6" i="11"/>
  <c r="C5" i="11"/>
  <c r="C4" i="11"/>
  <c r="C10" i="11" s="1"/>
  <c r="C17" i="11"/>
  <c r="B17" i="11"/>
  <c r="A17" i="11"/>
  <c r="D17" i="11" s="1"/>
  <c r="D16" i="11"/>
  <c r="C16" i="11"/>
  <c r="E16" i="11" s="1"/>
  <c r="B16" i="11"/>
  <c r="A16" i="11"/>
  <c r="A8" i="3" s="1"/>
  <c r="D15" i="11"/>
  <c r="C15" i="11"/>
  <c r="E15" i="11" s="1"/>
  <c r="B15" i="11"/>
  <c r="A15" i="11"/>
  <c r="A7" i="3" s="1"/>
  <c r="D14" i="11"/>
  <c r="C14" i="11"/>
  <c r="E14" i="11" s="1"/>
  <c r="B14" i="11"/>
  <c r="A14" i="11"/>
  <c r="C13" i="11"/>
  <c r="B13" i="11"/>
  <c r="A13" i="11"/>
  <c r="D13" i="11" s="1"/>
  <c r="G14" i="11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D13" i="1" s="1"/>
  <c r="H14" i="11" l="1"/>
  <c r="E14" i="12"/>
  <c r="G14" i="12"/>
  <c r="H14" i="12" s="1"/>
  <c r="F16" i="12"/>
  <c r="F17" i="12"/>
  <c r="F14" i="12"/>
  <c r="I14" i="12" s="1"/>
  <c r="G15" i="12"/>
  <c r="E16" i="12"/>
  <c r="G13" i="12"/>
  <c r="H13" i="12" s="1"/>
  <c r="D19" i="12"/>
  <c r="F15" i="12"/>
  <c r="F13" i="12"/>
  <c r="E15" i="12"/>
  <c r="E13" i="12"/>
  <c r="E17" i="12"/>
  <c r="H15" i="12"/>
  <c r="G16" i="12"/>
  <c r="H16" i="12" s="1"/>
  <c r="I16" i="12" s="1"/>
  <c r="G17" i="12"/>
  <c r="H17" i="12" s="1"/>
  <c r="I17" i="12" s="1"/>
  <c r="G17" i="11"/>
  <c r="H17" i="11" s="1"/>
  <c r="F14" i="11"/>
  <c r="I14" i="11" s="1"/>
  <c r="F15" i="11"/>
  <c r="F16" i="11"/>
  <c r="G13" i="11"/>
  <c r="H13" i="11" s="1"/>
  <c r="D19" i="11"/>
  <c r="F17" i="11"/>
  <c r="F13" i="11"/>
  <c r="E13" i="11"/>
  <c r="G15" i="11"/>
  <c r="H15" i="11"/>
  <c r="I15" i="11" s="1"/>
  <c r="G16" i="11"/>
  <c r="H16" i="11" s="1"/>
  <c r="E17" i="11"/>
  <c r="E9" i="9"/>
  <c r="D9" i="9"/>
  <c r="C9" i="9"/>
  <c r="B9" i="9"/>
  <c r="E8" i="9"/>
  <c r="D8" i="9"/>
  <c r="C8" i="9"/>
  <c r="B8" i="9"/>
  <c r="E7" i="9"/>
  <c r="C7" i="9"/>
  <c r="C9" i="11" s="1"/>
  <c r="B7" i="9"/>
  <c r="E6" i="9"/>
  <c r="D6" i="9"/>
  <c r="C6" i="9"/>
  <c r="B6" i="9"/>
  <c r="E5" i="9"/>
  <c r="D5" i="9"/>
  <c r="C5" i="9"/>
  <c r="B5" i="9"/>
  <c r="E10" i="10"/>
  <c r="C10" i="10"/>
  <c r="B10" i="10"/>
  <c r="F9" i="10"/>
  <c r="F8" i="10"/>
  <c r="F7" i="10"/>
  <c r="F6" i="10"/>
  <c r="F5" i="10"/>
  <c r="D7" i="9" l="1"/>
  <c r="C9" i="12" s="1"/>
  <c r="I15" i="12"/>
  <c r="L17" i="12"/>
  <c r="M17" i="12" s="1"/>
  <c r="I9" i="5" s="1"/>
  <c r="J17" i="12"/>
  <c r="L16" i="12"/>
  <c r="M16" i="12" s="1"/>
  <c r="I8" i="5" s="1"/>
  <c r="J16" i="12"/>
  <c r="J15" i="12"/>
  <c r="L15" i="12"/>
  <c r="M15" i="12" s="1"/>
  <c r="I7" i="5" s="1"/>
  <c r="J14" i="12"/>
  <c r="L14" i="12"/>
  <c r="M14" i="12" s="1"/>
  <c r="I6" i="5" s="1"/>
  <c r="I13" i="12"/>
  <c r="F19" i="12"/>
  <c r="H19" i="12"/>
  <c r="H19" i="11"/>
  <c r="I16" i="11"/>
  <c r="J16" i="11" s="1"/>
  <c r="L16" i="11"/>
  <c r="M16" i="11" s="1"/>
  <c r="J15" i="11"/>
  <c r="L15" i="11"/>
  <c r="M15" i="11" s="1"/>
  <c r="I13" i="11"/>
  <c r="F19" i="11"/>
  <c r="J14" i="11"/>
  <c r="L14" i="11"/>
  <c r="M14" i="11" s="1"/>
  <c r="I17" i="11"/>
  <c r="F5" i="9"/>
  <c r="F6" i="9"/>
  <c r="F7" i="9"/>
  <c r="F8" i="9"/>
  <c r="F9" i="9"/>
  <c r="B10" i="9"/>
  <c r="C10" i="9"/>
  <c r="D10" i="9"/>
  <c r="E10" i="9"/>
  <c r="C6" i="3" l="1"/>
  <c r="G6" i="5"/>
  <c r="C8" i="3"/>
  <c r="G8" i="5"/>
  <c r="C7" i="3"/>
  <c r="G7" i="5"/>
  <c r="K16" i="11"/>
  <c r="N16" i="11"/>
  <c r="K14" i="12"/>
  <c r="N14" i="12"/>
  <c r="K17" i="12"/>
  <c r="N17" i="12"/>
  <c r="K15" i="12"/>
  <c r="N15" i="12"/>
  <c r="K14" i="11"/>
  <c r="N14" i="11"/>
  <c r="K15" i="11"/>
  <c r="N15" i="11"/>
  <c r="K16" i="12"/>
  <c r="N16" i="12"/>
  <c r="L13" i="12"/>
  <c r="M13" i="12" s="1"/>
  <c r="I5" i="5" s="1"/>
  <c r="J13" i="12"/>
  <c r="N13" i="12" s="1"/>
  <c r="L13" i="11"/>
  <c r="M13" i="11" s="1"/>
  <c r="J13" i="11"/>
  <c r="L17" i="11"/>
  <c r="M17" i="11" s="1"/>
  <c r="J17" i="11"/>
  <c r="C6" i="1"/>
  <c r="C9" i="1" s="1"/>
  <c r="C5" i="1"/>
  <c r="C4" i="1"/>
  <c r="C5" i="3" l="1"/>
  <c r="G5" i="5"/>
  <c r="C10" i="1"/>
  <c r="G13" i="1"/>
  <c r="H13" i="1" s="1"/>
  <c r="F13" i="1"/>
  <c r="G9" i="5"/>
  <c r="C9" i="3"/>
  <c r="D9" i="11"/>
  <c r="D9" i="12"/>
  <c r="O17" i="12"/>
  <c r="H9" i="5"/>
  <c r="O16" i="11"/>
  <c r="B8" i="3"/>
  <c r="F8" i="5"/>
  <c r="K17" i="11"/>
  <c r="N17" i="11"/>
  <c r="K13" i="12"/>
  <c r="K13" i="11"/>
  <c r="N13" i="11"/>
  <c r="H8" i="5"/>
  <c r="O16" i="12"/>
  <c r="O14" i="11"/>
  <c r="F6" i="5"/>
  <c r="B6" i="3"/>
  <c r="B7" i="3"/>
  <c r="F7" i="5"/>
  <c r="O15" i="11"/>
  <c r="O15" i="12"/>
  <c r="H7" i="5"/>
  <c r="H6" i="5"/>
  <c r="O14" i="12"/>
  <c r="D10" i="11" l="1"/>
  <c r="D10" i="12"/>
  <c r="I13" i="1"/>
  <c r="J13" i="1" s="1"/>
  <c r="O13" i="12"/>
  <c r="H5" i="5"/>
  <c r="F5" i="5"/>
  <c r="B5" i="3"/>
  <c r="O13" i="11"/>
  <c r="F9" i="5"/>
  <c r="O17" i="11"/>
  <c r="B9" i="3"/>
  <c r="L13" i="1" l="1"/>
  <c r="N13" i="1"/>
  <c r="D17" i="1"/>
  <c r="G17" i="1" s="1"/>
  <c r="H17" i="1" s="1"/>
  <c r="D16" i="1"/>
  <c r="G16" i="1" s="1"/>
  <c r="H16" i="1" s="1"/>
  <c r="D15" i="1"/>
  <c r="G15" i="1" s="1"/>
  <c r="H15" i="1" s="1"/>
  <c r="D14" i="1"/>
  <c r="G14" i="1" l="1"/>
  <c r="H14" i="1" s="1"/>
  <c r="D19" i="1"/>
  <c r="H19" i="1"/>
  <c r="F15" i="1"/>
  <c r="I15" i="1" s="1"/>
  <c r="F17" i="1"/>
  <c r="I17" i="1" s="1"/>
  <c r="F14" i="1"/>
  <c r="F16" i="1"/>
  <c r="I16" i="1" s="1"/>
  <c r="E13" i="1"/>
  <c r="K13" i="1" s="1"/>
  <c r="E17" i="1"/>
  <c r="E14" i="1"/>
  <c r="E15" i="1"/>
  <c r="E16" i="1"/>
  <c r="D5" i="5" l="1"/>
  <c r="M13" i="1"/>
  <c r="E5" i="5" s="1"/>
  <c r="I14" i="1"/>
  <c r="L14" i="1" s="1"/>
  <c r="M14" i="1" s="1"/>
  <c r="E6" i="5" s="1"/>
  <c r="F19" i="1"/>
  <c r="J16" i="1"/>
  <c r="L16" i="1"/>
  <c r="M16" i="1" s="1"/>
  <c r="E8" i="5" s="1"/>
  <c r="J17" i="1"/>
  <c r="L17" i="1"/>
  <c r="M17" i="1" s="1"/>
  <c r="E9" i="5" s="1"/>
  <c r="J15" i="1"/>
  <c r="L15" i="1"/>
  <c r="M15" i="1" s="1"/>
  <c r="E7" i="5" s="1"/>
  <c r="J14" i="1" l="1"/>
  <c r="O13" i="1"/>
  <c r="K16" i="1"/>
  <c r="N16" i="1"/>
  <c r="K17" i="1"/>
  <c r="N17" i="1"/>
  <c r="K14" i="1"/>
  <c r="N14" i="1"/>
  <c r="K15" i="1"/>
  <c r="N15" i="1"/>
  <c r="D7" i="5" l="1"/>
  <c r="O15" i="1"/>
  <c r="D9" i="5"/>
  <c r="O17" i="1"/>
  <c r="D6" i="5"/>
  <c r="O14" i="1"/>
  <c r="D8" i="5"/>
  <c r="O16" i="1"/>
</calcChain>
</file>

<file path=xl/sharedStrings.xml><?xml version="1.0" encoding="utf-8"?>
<sst xmlns="http://schemas.openxmlformats.org/spreadsheetml/2006/main" count="128" uniqueCount="50">
  <si>
    <t>Age</t>
  </si>
  <si>
    <t>Inflation</t>
  </si>
  <si>
    <t>Contribution rate</t>
  </si>
  <si>
    <t>Investment return</t>
  </si>
  <si>
    <t>Salary increases</t>
  </si>
  <si>
    <t>Annuity factor</t>
  </si>
  <si>
    <t>Annuity</t>
  </si>
  <si>
    <t>Drawdown</t>
  </si>
  <si>
    <t>AGE</t>
  </si>
  <si>
    <t>Investment return (i)</t>
  </si>
  <si>
    <t>Salary increases (j)</t>
  </si>
  <si>
    <t>Inflation (k)</t>
  </si>
  <si>
    <t>Scenario 1</t>
  </si>
  <si>
    <t>Scenario 2</t>
  </si>
  <si>
    <t>Scenario 3</t>
  </si>
  <si>
    <t>CHECKS</t>
  </si>
  <si>
    <t>OTHER PARAMETERS</t>
  </si>
  <si>
    <t>SCENARIO 1</t>
  </si>
  <si>
    <t>SCENARIO 2</t>
  </si>
  <si>
    <t>SCENARIO 3</t>
  </si>
  <si>
    <t>VARIABLES</t>
  </si>
  <si>
    <t>SCENARIOS</t>
  </si>
  <si>
    <t>ANNUITY FACTORS</t>
  </si>
  <si>
    <t>GRAPH</t>
  </si>
  <si>
    <t>TABLE</t>
  </si>
  <si>
    <t>PARAMETERS</t>
  </si>
  <si>
    <t>RAW DATA</t>
  </si>
  <si>
    <t>CLEAN DATA</t>
  </si>
  <si>
    <t>DATA FOR GRAPH</t>
  </si>
  <si>
    <r>
      <t xml:space="preserve">Retirement age (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</si>
  <si>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Maximum age (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</si>
  <si>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FACTORS</t>
  </si>
  <si>
    <t>EMPLOYEE PROFILES</t>
  </si>
  <si>
    <t>n (years to retirement)</t>
  </si>
  <si>
    <t>Drawdown annuity factor</t>
  </si>
  <si>
    <t>% of final salary</t>
  </si>
  <si>
    <t>Future contributions factor</t>
  </si>
  <si>
    <t>Checks</t>
  </si>
  <si>
    <t>Income vs annuity</t>
  </si>
  <si>
    <t>% of final salary vs annuity</t>
  </si>
  <si>
    <t>(OK, driven by high inv return outweighing higher current value)</t>
  </si>
  <si>
    <t>Fund now ($K)</t>
  </si>
  <si>
    <t>Salary ($K)</t>
  </si>
  <si>
    <t>Fund Now ($k)</t>
  </si>
  <si>
    <t>Salary ($k)</t>
  </si>
  <si>
    <t>Final Salary ($k)</t>
  </si>
  <si>
    <t>Fund value at retirement ($k)</t>
  </si>
  <si>
    <t>Value of future contributions at retirement ($k)</t>
  </si>
  <si>
    <t>Total retirement fund ($k)</t>
  </si>
  <si>
    <t>Income ($k)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</si>
</sst>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9" fontId="2" fillId="0" borderId="0" xfId="0" applyNumberFormat="1" applyFont="1"/>
    <xf numFmtId="0" fontId="0" fillId="2" borderId="0" xfId="0" applyFill="1"/>
    <xf numFmtId="9" fontId="0" fillId="2" borderId="0" xfId="0" applyNumberFormat="1" applyFill="1" applyAlignment="1">
      <alignment horizontal="center"/>
    </xf>
    <xf numFmtId="9" fontId="0" fillId="2" borderId="0" xfId="0" applyNumberFormat="1" applyFill="1"/>
    <xf numFmtId="0" fontId="2" fillId="0" borderId="0" xfId="0" applyFont="1" applyAlignment="1">
      <alignment horizontal="centerContinuous"/>
    </xf>
    <xf numFmtId="0" fontId="3" fillId="3" borderId="0" xfId="0" applyFont="1" applyFill="1"/>
    <xf numFmtId="164" fontId="4" fillId="0" borderId="0" xfId="0" applyNumberFormat="1" applyFont="1" applyFill="1"/>
    <xf numFmtId="164" fontId="0" fillId="0" borderId="0" xfId="0" applyNumberFormat="1" applyFill="1"/>
    <xf numFmtId="2" fontId="0" fillId="4" borderId="0" xfId="0" applyNumberFormat="1" applyFill="1"/>
    <xf numFmtId="0" fontId="0" fillId="0" borderId="0" xfId="0" applyAlignment="1">
      <alignment horizontal="centerContinuous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9" fontId="0" fillId="0" borderId="0" xfId="1" applyFo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Pension</a:t>
            </a:r>
            <a:r>
              <a:rPr lang="en-GB" sz="1400" baseline="0"/>
              <a:t> as percentage of salary (Scenario 2)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Annuity</c:v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Graph!$B$5:$B$9</c:f>
              <c:numCache>
                <c:formatCode>0%</c:formatCode>
                <c:ptCount val="5"/>
                <c:pt idx="0">
                  <c:v>0.6197708121496176</c:v>
                </c:pt>
                <c:pt idx="1">
                  <c:v>0.47781075149889568</c:v>
                </c:pt>
                <c:pt idx="2">
                  <c:v>0.35579036032652567</c:v>
                </c:pt>
                <c:pt idx="3">
                  <c:v>0.26036133387623023</c:v>
                </c:pt>
                <c:pt idx="4">
                  <c:v>0.20368991474804393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2-46C7-A337-77569F8D0E49}"/>
            </c:ext>
          </c:extLst>
        </c:ser>
        <c:ser>
          <c:idx val="1"/>
          <c:order val="1"/>
          <c:tx>
            <c:v>Drawdown</c:v>
          </c:tx>
          <c:invertIfNegative val="0"/>
          <c:val>
            <c:numRef>
              <c:f>Graph!$C$5:$C$9</c:f>
              <c:numCache>
                <c:formatCode>0%</c:formatCode>
                <c:ptCount val="5"/>
                <c:pt idx="0">
                  <c:v>0.65876123005553866</c:v>
                </c:pt>
                <c:pt idx="1">
                  <c:v>0.50787031628586521</c:v>
                </c:pt>
                <c:pt idx="2">
                  <c:v>0.37817349706688674</c:v>
                </c:pt>
                <c:pt idx="3">
                  <c:v>0.27674093261720256</c:v>
                </c:pt>
                <c:pt idx="4">
                  <c:v>0.21650425634587067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2-46C7-A337-77569F8D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/>
  </sheetViews>
  <sheetFormatPr defaultRowHeight="15" x14ac:dyDescent="0.25"/>
  <cols>
    <col min="1" max="1" width="8.85546875" customWidth="1"/>
  </cols>
  <sheetData>
    <row r="1" spans="1:6" x14ac:dyDescent="0.25">
      <c r="A1" s="16" t="s">
        <v>26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v>22.4</v>
      </c>
      <c r="C5" s="18">
        <v>20.5</v>
      </c>
      <c r="D5" s="18">
        <v>18.7</v>
      </c>
      <c r="E5" s="18"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v>20.6</v>
      </c>
      <c r="C6" s="18">
        <v>19</v>
      </c>
      <c r="D6" s="18">
        <v>17.3</v>
      </c>
      <c r="E6" s="18"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v>18.899999999999999</v>
      </c>
      <c r="C7" s="18">
        <v>17.399999999999999</v>
      </c>
      <c r="D7" s="18">
        <v>17.3</v>
      </c>
      <c r="E7" s="18"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v>17.2</v>
      </c>
      <c r="C8" s="18">
        <v>15.8</v>
      </c>
      <c r="D8" s="18">
        <v>14.4</v>
      </c>
      <c r="E8" s="18"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v>15.5</v>
      </c>
      <c r="C9" s="18">
        <v>14.2</v>
      </c>
      <c r="D9" s="18">
        <v>13</v>
      </c>
      <c r="E9" s="18"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Error!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D7" sqref="D7"/>
    </sheetView>
  </sheetViews>
  <sheetFormatPr defaultRowHeight="15" x14ac:dyDescent="0.25"/>
  <sheetData>
    <row r="1" spans="1:6" x14ac:dyDescent="0.25">
      <c r="A1" s="16" t="s">
        <v>27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f>RawData!B5</f>
        <v>22.4</v>
      </c>
      <c r="C5" s="18">
        <f>RawData!C5</f>
        <v>20.5</v>
      </c>
      <c r="D5" s="18">
        <f>RawData!D5</f>
        <v>18.7</v>
      </c>
      <c r="E5" s="18">
        <f>RawData!E5</f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f>RawData!B6</f>
        <v>20.6</v>
      </c>
      <c r="C6" s="18">
        <f>RawData!C6</f>
        <v>19</v>
      </c>
      <c r="D6" s="18">
        <f>RawData!D6</f>
        <v>17.3</v>
      </c>
      <c r="E6" s="18">
        <f>RawData!E6</f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f>RawData!B7</f>
        <v>18.899999999999999</v>
      </c>
      <c r="C7" s="18">
        <f>RawData!C7</f>
        <v>17.399999999999999</v>
      </c>
      <c r="D7" s="19">
        <f>AVERAGE(D6,D8,C7,E7)</f>
        <v>15.850000000000001</v>
      </c>
      <c r="E7" s="18">
        <f>RawData!E7</f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f>RawData!B8</f>
        <v>17.2</v>
      </c>
      <c r="C8" s="18">
        <f>RawData!C8</f>
        <v>15.8</v>
      </c>
      <c r="D8" s="18">
        <f>RawData!D8</f>
        <v>14.4</v>
      </c>
      <c r="E8" s="18">
        <f>RawData!E8</f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f>RawData!B9</f>
        <v>15.5</v>
      </c>
      <c r="C9" s="18">
        <f>RawData!C9</f>
        <v>14.2</v>
      </c>
      <c r="D9" s="18">
        <f>RawData!D9</f>
        <v>13</v>
      </c>
      <c r="E9" s="18">
        <f>RawData!E9</f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OK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H5" sqref="H5"/>
    </sheetView>
  </sheetViews>
  <sheetFormatPr defaultRowHeight="15" x14ac:dyDescent="0.25"/>
  <cols>
    <col min="1" max="1" width="19.85546875" bestFit="1" customWidth="1"/>
    <col min="2" max="4" width="9.7109375" bestFit="1" customWidth="1"/>
    <col min="7" max="7" width="13.28515625" bestFit="1" customWidth="1"/>
    <col min="8" max="8" width="10" bestFit="1" customWidth="1"/>
  </cols>
  <sheetData>
    <row r="1" spans="1:8" x14ac:dyDescent="0.25">
      <c r="A1" s="16" t="s">
        <v>25</v>
      </c>
    </row>
    <row r="3" spans="1:8" x14ac:dyDescent="0.25">
      <c r="B3" s="9"/>
      <c r="C3" s="9" t="s">
        <v>21</v>
      </c>
      <c r="D3" s="9"/>
      <c r="G3" s="9" t="s">
        <v>32</v>
      </c>
    </row>
    <row r="4" spans="1:8" x14ac:dyDescent="0.25">
      <c r="A4" s="9"/>
      <c r="B4" s="11" t="s">
        <v>12</v>
      </c>
      <c r="C4" s="11" t="s">
        <v>13</v>
      </c>
      <c r="D4" s="11" t="s">
        <v>14</v>
      </c>
      <c r="F4" s="2" t="s">
        <v>0</v>
      </c>
      <c r="G4" s="2" t="s">
        <v>41</v>
      </c>
      <c r="H4" s="2" t="s">
        <v>42</v>
      </c>
    </row>
    <row r="5" spans="1:8" x14ac:dyDescent="0.25">
      <c r="A5" s="9" t="s">
        <v>9</v>
      </c>
      <c r="B5" s="13">
        <v>0.04</v>
      </c>
      <c r="C5" s="13">
        <v>0.06</v>
      </c>
      <c r="D5" s="13">
        <v>0.08</v>
      </c>
      <c r="F5" s="12">
        <v>20</v>
      </c>
      <c r="G5" s="12">
        <v>0</v>
      </c>
      <c r="H5" s="12">
        <v>20</v>
      </c>
    </row>
    <row r="6" spans="1:8" x14ac:dyDescent="0.25">
      <c r="A6" s="9" t="s">
        <v>10</v>
      </c>
      <c r="B6" s="13">
        <v>0.03</v>
      </c>
      <c r="C6" s="13">
        <v>0.04</v>
      </c>
      <c r="D6" s="13">
        <v>0.05</v>
      </c>
      <c r="F6" s="12">
        <v>30</v>
      </c>
      <c r="G6" s="12">
        <v>10</v>
      </c>
      <c r="H6" s="12">
        <v>25</v>
      </c>
    </row>
    <row r="7" spans="1:8" x14ac:dyDescent="0.25">
      <c r="A7" s="9" t="s">
        <v>11</v>
      </c>
      <c r="B7" s="13">
        <v>0.01</v>
      </c>
      <c r="C7" s="13">
        <v>0.02</v>
      </c>
      <c r="D7" s="13">
        <v>0.03</v>
      </c>
      <c r="F7" s="12">
        <v>40</v>
      </c>
      <c r="G7" s="12">
        <v>25</v>
      </c>
      <c r="H7" s="12">
        <v>30</v>
      </c>
    </row>
    <row r="8" spans="1:8" x14ac:dyDescent="0.25">
      <c r="F8" s="12">
        <v>50</v>
      </c>
      <c r="G8" s="12">
        <v>50</v>
      </c>
      <c r="H8" s="12">
        <v>35</v>
      </c>
    </row>
    <row r="9" spans="1:8" x14ac:dyDescent="0.25">
      <c r="F9" s="12">
        <v>60</v>
      </c>
      <c r="G9" s="12">
        <v>100</v>
      </c>
      <c r="H9" s="12">
        <v>40</v>
      </c>
    </row>
    <row r="10" spans="1:8" x14ac:dyDescent="0.25">
      <c r="A10" s="9" t="s">
        <v>16</v>
      </c>
    </row>
    <row r="11" spans="1:8" x14ac:dyDescent="0.25">
      <c r="A11" t="s">
        <v>29</v>
      </c>
      <c r="B11" s="12">
        <v>65</v>
      </c>
    </row>
    <row r="12" spans="1:8" x14ac:dyDescent="0.25">
      <c r="A12" t="s">
        <v>30</v>
      </c>
      <c r="B12" s="12">
        <v>90</v>
      </c>
    </row>
    <row r="13" spans="1:8" x14ac:dyDescent="0.25">
      <c r="A13" t="s">
        <v>2</v>
      </c>
      <c r="B13" s="14">
        <v>0.15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1"/>
  <sheetViews>
    <sheetView workbookViewId="0">
      <selection activeCell="B12" sqref="B1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17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Parameters!B5</f>
        <v>0.04</v>
      </c>
    </row>
    <row r="5" spans="1:21" x14ac:dyDescent="0.25">
      <c r="A5" t="s">
        <v>4</v>
      </c>
      <c r="C5" s="1">
        <f>Parameters!B6</f>
        <v>0.03</v>
      </c>
    </row>
    <row r="6" spans="1:21" x14ac:dyDescent="0.25">
      <c r="A6" t="s">
        <v>1</v>
      </c>
      <c r="C6" s="1">
        <f>Parameters!B7</f>
        <v>0.01</v>
      </c>
    </row>
    <row r="8" spans="1:21" x14ac:dyDescent="0.25">
      <c r="A8" s="9" t="s">
        <v>31</v>
      </c>
    </row>
    <row r="9" spans="1:21" x14ac:dyDescent="0.25">
      <c r="A9" t="s">
        <v>5</v>
      </c>
      <c r="C9" s="17">
        <f>HLOOKUP(C6+1%,CleanData!$B$4:$E$7,4,FALSE)</f>
        <v>18.899999999999999</v>
      </c>
    </row>
    <row r="10" spans="1:21" x14ac:dyDescent="0.25">
      <c r="A10" t="s">
        <v>34</v>
      </c>
      <c r="C10" s="3">
        <f>(1+$C$4)*(1-((1+$C$4)/(1+$C$6))^(Parameters!$B$11-Parameters!$B$12))/($C$4-$C$6)</f>
        <v>17.989857978593438</v>
      </c>
    </row>
    <row r="11" spans="1:21" x14ac:dyDescent="0.25">
      <c r="J11" s="26" t="s">
        <v>6</v>
      </c>
      <c r="K11" s="26"/>
      <c r="L11" s="26" t="s">
        <v>7</v>
      </c>
      <c r="M11" s="26"/>
      <c r="N11" s="27" t="s">
        <v>37</v>
      </c>
      <c r="O11" s="27"/>
    </row>
    <row r="12" spans="1:21" s="23" customFormat="1" ht="36" customHeight="1" x14ac:dyDescent="0.25">
      <c r="A12" s="22" t="s">
        <v>0</v>
      </c>
      <c r="B12" s="22" t="s">
        <v>43</v>
      </c>
      <c r="C12" s="22" t="s">
        <v>44</v>
      </c>
      <c r="D12" s="22" t="s">
        <v>33</v>
      </c>
      <c r="E12" s="22" t="s">
        <v>45</v>
      </c>
      <c r="F12" s="22" t="s">
        <v>46</v>
      </c>
      <c r="G12" s="22" t="s">
        <v>36</v>
      </c>
      <c r="H12" s="22" t="s">
        <v>47</v>
      </c>
      <c r="I12" s="22" t="s">
        <v>48</v>
      </c>
      <c r="J12" s="22" t="s">
        <v>49</v>
      </c>
      <c r="K12" s="22" t="s">
        <v>35</v>
      </c>
      <c r="L12" s="22" t="s">
        <v>49</v>
      </c>
      <c r="M12" s="22" t="s">
        <v>35</v>
      </c>
      <c r="N12" s="25" t="s">
        <v>38</v>
      </c>
      <c r="O12" s="25" t="s">
        <v>39</v>
      </c>
      <c r="P12" s="22"/>
      <c r="Q12" s="22"/>
      <c r="R12" s="22"/>
      <c r="S12" s="22"/>
      <c r="T12" s="22"/>
      <c r="U12" s="22"/>
    </row>
    <row r="13" spans="1:21" x14ac:dyDescent="0.25">
      <c r="A13">
        <f>Parameters!F5</f>
        <v>20</v>
      </c>
      <c r="B13">
        <f>Parameters!G5</f>
        <v>0</v>
      </c>
      <c r="C13">
        <f>Parameters!H5</f>
        <v>20</v>
      </c>
      <c r="D13">
        <f>Parameters!$B$11-$A13</f>
        <v>45</v>
      </c>
      <c r="E13" s="3">
        <f>$C13*(1+$C$5)^$D13</f>
        <v>75.631916833026793</v>
      </c>
      <c r="F13" s="3">
        <f>B13*(1+$C$4)^D13</f>
        <v>0</v>
      </c>
      <c r="G13" s="3">
        <f>((1+$C$4)^(D13)-(1+$C$5)^D13)/($C$4-$C$5)</f>
        <v>205.95798398100675</v>
      </c>
      <c r="H13" s="3">
        <f>Parameters!$B$13*Scenario1!C13*(1+Scenario1!$C$4)*Scenario1!G13</f>
        <v>642.58891002074108</v>
      </c>
      <c r="I13" s="3">
        <f>F13+H13</f>
        <v>642.58891002074108</v>
      </c>
      <c r="J13" s="3">
        <f>I13/$C$9</f>
        <v>33.999413228610642</v>
      </c>
      <c r="K13" s="24">
        <f>J13/E13</f>
        <v>0.44953790214879025</v>
      </c>
      <c r="L13" s="3">
        <f>I13/$C$10</f>
        <v>35.719509891927608</v>
      </c>
      <c r="M13" s="24">
        <f>L13/E13</f>
        <v>0.47228090186826632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Parameters!F6</f>
        <v>30</v>
      </c>
      <c r="B14">
        <f>Parameters!G6</f>
        <v>10</v>
      </c>
      <c r="C14">
        <f>Parameters!H6</f>
        <v>25</v>
      </c>
      <c r="D14">
        <f>Parameters!$B$11-$A14</f>
        <v>35</v>
      </c>
      <c r="E14" s="3">
        <f>$C14*(1+$C$5)^$D14</f>
        <v>70.34656135928806</v>
      </c>
      <c r="F14" s="3">
        <f t="shared" ref="F14:F17" si="0">B14*(1+$C$4)^D14</f>
        <v>39.460889942119437</v>
      </c>
      <c r="G14" s="3">
        <f t="shared" ref="G14:G17" si="1">((1+$C$4)^(D14)-(1+$C$5)^D14)/($C$4-$C$5)</f>
        <v>113.22265398404208</v>
      </c>
      <c r="H14" s="3">
        <f>Parameters!$B$13*Scenario1!C14*(1+Scenario1!$C$4)*Scenario1!G14</f>
        <v>441.56835053776416</v>
      </c>
      <c r="I14" s="3">
        <f t="shared" ref="I14:I17" si="2">F14+H14</f>
        <v>481.02924047988358</v>
      </c>
      <c r="J14" s="3">
        <f t="shared" ref="J14:J17" si="3">I14/$C$9</f>
        <v>25.451282565073207</v>
      </c>
      <c r="K14" s="24">
        <f t="shared" ref="K14:K17" si="4">J14/E14</f>
        <v>0.36179853106228338</v>
      </c>
      <c r="L14" s="3">
        <f>I14/$C$10</f>
        <v>26.738912616890683</v>
      </c>
      <c r="M14" s="24">
        <f>L14/E14</f>
        <v>0.38010262477968682</v>
      </c>
      <c r="N14" s="6" t="b">
        <f t="shared" ref="N14:N17" si="5">ROUND(J14/L14,2)=ROUND($C$10/$C$9,2)</f>
        <v>1</v>
      </c>
      <c r="O14" s="6" t="b">
        <f t="shared" ref="O14:O17" si="6">ROUND(K14/M14,2)=ROUND($C$10/$C$9,2)</f>
        <v>1</v>
      </c>
      <c r="P14" s="4"/>
      <c r="Q14" s="4"/>
      <c r="R14" s="1"/>
      <c r="S14" s="4"/>
      <c r="T14" s="1"/>
    </row>
    <row r="15" spans="1:21" x14ac:dyDescent="0.25">
      <c r="A15">
        <f>Parameters!F7</f>
        <v>40</v>
      </c>
      <c r="B15">
        <f>Parameters!G7</f>
        <v>25</v>
      </c>
      <c r="C15">
        <f>Parameters!H7</f>
        <v>30</v>
      </c>
      <c r="D15">
        <f>Parameters!$B$11-$A15</f>
        <v>25</v>
      </c>
      <c r="E15" s="3">
        <f>$C15*(1+$C$5)^$D15</f>
        <v>62.813337889626418</v>
      </c>
      <c r="F15" s="3">
        <f t="shared" si="0"/>
        <v>66.645908287185591</v>
      </c>
      <c r="G15" s="3">
        <f t="shared" si="1"/>
        <v>57.205840183320944</v>
      </c>
      <c r="H15" s="3">
        <f>Parameters!$B$13*Scenario1!C15*(1+Scenario1!$C$4)*Scenario1!G15</f>
        <v>267.723332057942</v>
      </c>
      <c r="I15" s="3">
        <f t="shared" si="2"/>
        <v>334.36924034512759</v>
      </c>
      <c r="J15" s="3">
        <f t="shared" si="3"/>
        <v>17.691494198154899</v>
      </c>
      <c r="K15" s="24">
        <f t="shared" si="4"/>
        <v>0.28165187191997065</v>
      </c>
      <c r="L15" s="3">
        <f>I15/$C$10</f>
        <v>18.586541413667721</v>
      </c>
      <c r="M15" s="24">
        <f>L15/E15</f>
        <v>0.29590118974933949</v>
      </c>
      <c r="N15" s="6" t="b">
        <f t="shared" si="5"/>
        <v>1</v>
      </c>
      <c r="O15" s="6" t="b">
        <f t="shared" si="6"/>
        <v>1</v>
      </c>
      <c r="P15" s="4"/>
      <c r="Q15" s="4"/>
      <c r="R15" s="1"/>
      <c r="S15" s="4"/>
      <c r="T15" s="1"/>
    </row>
    <row r="16" spans="1:21" x14ac:dyDescent="0.25">
      <c r="A16">
        <f>Parameters!F8</f>
        <v>50</v>
      </c>
      <c r="B16">
        <f>Parameters!G8</f>
        <v>50</v>
      </c>
      <c r="C16">
        <f>Parameters!H8</f>
        <v>35</v>
      </c>
      <c r="D16">
        <f>Parameters!$B$11-$A16</f>
        <v>15</v>
      </c>
      <c r="E16" s="3">
        <f>$C16*(1+$C$5)^$D16</f>
        <v>54.528859581026758</v>
      </c>
      <c r="F16" s="3">
        <f t="shared" si="0"/>
        <v>90.047175275345836</v>
      </c>
      <c r="G16" s="3">
        <f t="shared" si="1"/>
        <v>24.297608890615226</v>
      </c>
      <c r="H16" s="3">
        <f>Parameters!$B$13*Scenario1!C16*(1+Scenario1!$C$4)*Scenario1!G16</f>
        <v>132.66494454275914</v>
      </c>
      <c r="I16" s="3">
        <f t="shared" si="2"/>
        <v>222.71211981810498</v>
      </c>
      <c r="J16" s="3">
        <f t="shared" si="3"/>
        <v>11.783710043285978</v>
      </c>
      <c r="K16" s="24">
        <f t="shared" si="4"/>
        <v>0.21610043074119423</v>
      </c>
      <c r="L16" s="3">
        <f>I16/$C$10</f>
        <v>12.379870929671343</v>
      </c>
      <c r="M16" s="24">
        <f>L16/E16</f>
        <v>0.22703337324111034</v>
      </c>
      <c r="N16" s="6" t="b">
        <f t="shared" si="5"/>
        <v>1</v>
      </c>
      <c r="O16" s="6" t="b">
        <f t="shared" si="6"/>
        <v>1</v>
      </c>
      <c r="P16" s="4"/>
      <c r="Q16" s="4"/>
      <c r="R16" s="1"/>
      <c r="S16" s="4"/>
      <c r="T16" s="1"/>
    </row>
    <row r="17" spans="1:21" x14ac:dyDescent="0.25">
      <c r="A17">
        <f>Parameters!F9</f>
        <v>60</v>
      </c>
      <c r="B17">
        <f>Parameters!G9</f>
        <v>100</v>
      </c>
      <c r="C17">
        <f>Parameters!H9</f>
        <v>40</v>
      </c>
      <c r="D17">
        <f>Parameters!$B$11-$A17</f>
        <v>5</v>
      </c>
      <c r="E17" s="3">
        <f>$C17*(1+$C$5)^$D17</f>
        <v>46.370962971999994</v>
      </c>
      <c r="F17" s="3">
        <f t="shared" si="0"/>
        <v>121.66529024000003</v>
      </c>
      <c r="G17" s="3">
        <f t="shared" si="1"/>
        <v>5.7378828100000492</v>
      </c>
      <c r="H17" s="3">
        <f>Parameters!$B$13*Scenario1!C17*(1+Scenario1!$C$4)*Scenario1!G17</f>
        <v>35.804388734400305</v>
      </c>
      <c r="I17" s="3">
        <f t="shared" si="2"/>
        <v>157.46967897440032</v>
      </c>
      <c r="J17" s="3">
        <f t="shared" si="3"/>
        <v>8.3317290462645683</v>
      </c>
      <c r="K17" s="24">
        <f t="shared" si="4"/>
        <v>0.17967556661041276</v>
      </c>
      <c r="L17" s="3">
        <f>I17/$C$10</f>
        <v>8.7532474776497544</v>
      </c>
      <c r="M17" s="24">
        <f>L17/E17</f>
        <v>0.18876570415273014</v>
      </c>
      <c r="N17" s="6" t="b">
        <f t="shared" si="5"/>
        <v>1</v>
      </c>
      <c r="O17" s="6" t="b">
        <f t="shared" si="6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1" t="str">
        <f>IF(AVERAGE(D13:D17)+AVERAGE(A13:A17)=Parameters!$B$11,"OK","Error!")</f>
        <v>OK</v>
      </c>
      <c r="E19" s="6"/>
      <c r="F19" s="21" t="str">
        <f>IF(AND(F13&lt;F14,F14&lt;F15,F15&lt;F16,F16&lt;F17),"OK","Error!")</f>
        <v>OK</v>
      </c>
      <c r="G19" s="6"/>
      <c r="H19" s="21" t="str">
        <f>IF(AND(H13&gt;H14,H14&gt;H15,H15&gt;H16,H16&gt;H17),"OK","Error!")</f>
        <v>OK</v>
      </c>
      <c r="I19" s="6"/>
      <c r="J19" s="6"/>
      <c r="K19" s="6"/>
      <c r="L19" s="6"/>
      <c r="M19" s="6"/>
      <c r="N19" s="21"/>
      <c r="O19" s="21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4450-3685-4BAF-8670-1A7EB1B02199}">
  <sheetPr>
    <pageSetUpPr fitToPage="1"/>
  </sheetPr>
  <dimension ref="A1:U21"/>
  <sheetViews>
    <sheetView workbookViewId="0"/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7109375" customWidth="1"/>
    <col min="6" max="6" width="15.28515625" customWidth="1"/>
    <col min="7" max="7" width="20.85546875" customWidth="1"/>
    <col min="8" max="8" width="30.710937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18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Parameters!C5</f>
        <v>0.06</v>
      </c>
    </row>
    <row r="5" spans="1:21" x14ac:dyDescent="0.25">
      <c r="A5" t="s">
        <v>4</v>
      </c>
      <c r="C5" s="1">
        <f>Parameters!C6</f>
        <v>0.04</v>
      </c>
    </row>
    <row r="6" spans="1:21" x14ac:dyDescent="0.25">
      <c r="A6" t="s">
        <v>1</v>
      </c>
      <c r="C6" s="1">
        <f>Parameters!C7</f>
        <v>0.02</v>
      </c>
    </row>
    <row r="8" spans="1:21" x14ac:dyDescent="0.25">
      <c r="A8" s="9" t="s">
        <v>31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17.399999999999999</v>
      </c>
      <c r="D9" s="5" t="str">
        <f>IF(C9&lt;Scenario1!C9,"OK","Error")</f>
        <v>OK</v>
      </c>
    </row>
    <row r="10" spans="1:21" x14ac:dyDescent="0.25">
      <c r="A10" t="s">
        <v>34</v>
      </c>
      <c r="C10" s="3">
        <f>(1+$C$4)*(1-((1+$C$6)/(1+$C$4))^(Parameters!$B$12-Parameters!$B$11))/($C$4-$C$6)</f>
        <v>16.370137827470764</v>
      </c>
      <c r="D10" s="5" t="str">
        <f>IF(C10&lt;Scenario1!C10,"OK","Error")</f>
        <v>OK</v>
      </c>
    </row>
    <row r="11" spans="1:21" x14ac:dyDescent="0.25">
      <c r="J11" s="26" t="s">
        <v>6</v>
      </c>
      <c r="K11" s="26"/>
      <c r="L11" s="26" t="s">
        <v>7</v>
      </c>
      <c r="M11" s="26"/>
      <c r="N11" s="27" t="s">
        <v>37</v>
      </c>
      <c r="O11" s="27"/>
    </row>
    <row r="12" spans="1:21" s="23" customFormat="1" ht="36" customHeight="1" x14ac:dyDescent="0.25">
      <c r="A12" s="22" t="s">
        <v>0</v>
      </c>
      <c r="B12" s="22" t="s">
        <v>43</v>
      </c>
      <c r="C12" s="22" t="s">
        <v>44</v>
      </c>
      <c r="D12" s="22" t="s">
        <v>33</v>
      </c>
      <c r="E12" s="22" t="s">
        <v>45</v>
      </c>
      <c r="F12" s="22" t="s">
        <v>46</v>
      </c>
      <c r="G12" s="22" t="s">
        <v>36</v>
      </c>
      <c r="H12" s="22" t="s">
        <v>47</v>
      </c>
      <c r="I12" s="22" t="s">
        <v>48</v>
      </c>
      <c r="J12" s="22" t="s">
        <v>49</v>
      </c>
      <c r="K12" s="22" t="s">
        <v>35</v>
      </c>
      <c r="L12" s="22" t="s">
        <v>49</v>
      </c>
      <c r="M12" s="22" t="s">
        <v>35</v>
      </c>
      <c r="N12" s="25" t="s">
        <v>38</v>
      </c>
      <c r="O12" s="25" t="s">
        <v>39</v>
      </c>
      <c r="P12" s="22"/>
      <c r="Q12" s="22"/>
      <c r="R12" s="22"/>
      <c r="S12" s="22"/>
      <c r="T12" s="22"/>
      <c r="U12" s="22"/>
    </row>
    <row r="13" spans="1:21" x14ac:dyDescent="0.25">
      <c r="A13">
        <f>Parameters!F5</f>
        <v>20</v>
      </c>
      <c r="B13">
        <f>Parameters!G5</f>
        <v>0</v>
      </c>
      <c r="C13">
        <f>Parameters!H5</f>
        <v>20</v>
      </c>
      <c r="D13">
        <f>Parameters!$B$11-$A13</f>
        <v>45</v>
      </c>
      <c r="E13" s="3">
        <f>$C13*(1+$C$5)^$D13</f>
        <v>116.82351362922816</v>
      </c>
      <c r="F13" s="3">
        <f>B13*(1+$C$4)^D13</f>
        <v>0</v>
      </c>
      <c r="G13" s="3">
        <f>((1+$C$4)^(D13)-(1+$C$5)^D13)/($C$4-$C$5)</f>
        <v>396.17175729898122</v>
      </c>
      <c r="H13" s="3">
        <f>Parameters!$B$13*Scenario2!C13*(1+Scenario2!$C$4)*Scenario2!G13</f>
        <v>1259.8261882107604</v>
      </c>
      <c r="I13" s="3">
        <f>F13+H13</f>
        <v>1259.8261882107604</v>
      </c>
      <c r="J13" s="3">
        <f>I13/$C$9</f>
        <v>72.403803920158651</v>
      </c>
      <c r="K13" s="24">
        <f>J13/E13</f>
        <v>0.6197708121496176</v>
      </c>
      <c r="L13" s="3">
        <f>I13/$C$10</f>
        <v>76.958801537800326</v>
      </c>
      <c r="M13" s="24">
        <f>L13/E13</f>
        <v>0.65876123005553866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Parameters!F6</f>
        <v>30</v>
      </c>
      <c r="B14">
        <f>Parameters!G6</f>
        <v>10</v>
      </c>
      <c r="C14">
        <f>Parameters!H6</f>
        <v>25</v>
      </c>
      <c r="D14">
        <f>Parameters!$B$11-$A14</f>
        <v>35</v>
      </c>
      <c r="E14" s="3">
        <f>$C14*(1+$C$5)^$D14</f>
        <v>98.652224855298584</v>
      </c>
      <c r="F14" s="3">
        <f t="shared" ref="F14:F17" si="0">B14*(1+$C$4)^D14</f>
        <v>76.860867923123507</v>
      </c>
      <c r="G14" s="3">
        <f t="shared" ref="G14:G17" si="1">((1+$C$4)^(D14)-(1+$C$5)^D14)/($C$4-$C$5)</f>
        <v>186.99988990502038</v>
      </c>
      <c r="H14" s="3">
        <f>Parameters!$B$13*Scenario2!C14*(1+Scenario2!$C$4)*Scenario2!G14</f>
        <v>743.32456237245606</v>
      </c>
      <c r="I14" s="3">
        <f t="shared" ref="I14:I17" si="2">F14+H14</f>
        <v>820.18543029557952</v>
      </c>
      <c r="J14" s="3">
        <f t="shared" ref="J14:J17" si="3">I14/$C$9</f>
        <v>47.137093695148252</v>
      </c>
      <c r="K14" s="24">
        <f t="shared" ref="K14:K17" si="4">J14/E14</f>
        <v>0.47781075149889568</v>
      </c>
      <c r="L14" s="3">
        <f t="shared" ref="L14:L17" si="5">I14/$C$10</f>
        <v>50.102536639564789</v>
      </c>
      <c r="M14" s="24">
        <f t="shared" ref="M14:M17" si="6">L14/E14</f>
        <v>0.50787031628586521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Parameters!F7</f>
        <v>40</v>
      </c>
      <c r="B15">
        <f>Parameters!G7</f>
        <v>25</v>
      </c>
      <c r="C15">
        <f>Parameters!H7</f>
        <v>30</v>
      </c>
      <c r="D15">
        <f>Parameters!$B$11-$A15</f>
        <v>25</v>
      </c>
      <c r="E15" s="3">
        <f>$C15*(1+$C$5)^$D15</f>
        <v>79.975089944622695</v>
      </c>
      <c r="F15" s="3">
        <f t="shared" si="0"/>
        <v>107.29676799358721</v>
      </c>
      <c r="G15" s="3">
        <f t="shared" si="1"/>
        <v>81.301719412803251</v>
      </c>
      <c r="H15" s="3">
        <f>Parameters!$B$13*Scenario2!C15*(1+Scenario2!$C$4)*Scenario2!G15</f>
        <v>387.80920159907157</v>
      </c>
      <c r="I15" s="3">
        <f t="shared" si="2"/>
        <v>495.10596959265877</v>
      </c>
      <c r="J15" s="3">
        <f t="shared" si="3"/>
        <v>28.45436606854361</v>
      </c>
      <c r="K15" s="24">
        <f t="shared" si="4"/>
        <v>0.35579036032652567</v>
      </c>
      <c r="L15" s="3">
        <f t="shared" si="5"/>
        <v>30.244459442596774</v>
      </c>
      <c r="M15" s="24">
        <f t="shared" si="6"/>
        <v>0.37817349706688674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Parameters!F8</f>
        <v>50</v>
      </c>
      <c r="B16">
        <f>Parameters!G8</f>
        <v>50</v>
      </c>
      <c r="C16">
        <f>Parameters!H8</f>
        <v>35</v>
      </c>
      <c r="D16">
        <f>Parameters!$B$11-$A16</f>
        <v>15</v>
      </c>
      <c r="E16" s="3">
        <f>$C16*(1+$C$5)^$D16</f>
        <v>63.033022692742087</v>
      </c>
      <c r="F16" s="3">
        <f t="shared" si="0"/>
        <v>119.82790965498462</v>
      </c>
      <c r="G16" s="3">
        <f t="shared" si="1"/>
        <v>29.78073437963879</v>
      </c>
      <c r="H16" s="3">
        <f>Parameters!$B$13*Scenario2!C16*(1+Scenario2!$C$4)*Scenario2!G16</f>
        <v>165.72978682268987</v>
      </c>
      <c r="I16" s="3">
        <f t="shared" si="2"/>
        <v>285.55769647767448</v>
      </c>
      <c r="J16" s="3">
        <f t="shared" si="3"/>
        <v>16.411361866533017</v>
      </c>
      <c r="K16" s="24">
        <f t="shared" si="4"/>
        <v>0.26036133387623023</v>
      </c>
      <c r="L16" s="3">
        <f t="shared" si="5"/>
        <v>17.443817485670738</v>
      </c>
      <c r="M16" s="24">
        <f t="shared" si="6"/>
        <v>0.27674093261720256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Parameters!F9</f>
        <v>60</v>
      </c>
      <c r="B17">
        <f>Parameters!G9</f>
        <v>100</v>
      </c>
      <c r="C17">
        <f>Parameters!H9</f>
        <v>40</v>
      </c>
      <c r="D17">
        <f>Parameters!$B$11-$A17</f>
        <v>5</v>
      </c>
      <c r="E17" s="3">
        <f>$C17*(1+$C$5)^$D17</f>
        <v>48.66611609600001</v>
      </c>
      <c r="F17" s="3">
        <f t="shared" si="0"/>
        <v>133.82255776000005</v>
      </c>
      <c r="G17" s="3">
        <f t="shared" si="1"/>
        <v>6.0786337600000087</v>
      </c>
      <c r="H17" s="3">
        <f>Parameters!$B$13*Scenario2!C17*(1+Scenario2!$C$4)*Scenario2!G17</f>
        <v>38.660110713600055</v>
      </c>
      <c r="I17" s="3">
        <f t="shared" si="2"/>
        <v>172.48266847360011</v>
      </c>
      <c r="J17" s="3">
        <f t="shared" si="3"/>
        <v>9.9127970387126503</v>
      </c>
      <c r="K17" s="24">
        <f t="shared" si="4"/>
        <v>0.20368991474804393</v>
      </c>
      <c r="L17" s="3">
        <f t="shared" si="5"/>
        <v>10.536421274606289</v>
      </c>
      <c r="M17" s="24">
        <f t="shared" si="6"/>
        <v>0.21650425634587067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1" t="str">
        <f>IF(AVERAGE(D13:D17)+AVERAGE(A13:A17)=Parameters!$B$11,"OK","Error!")</f>
        <v>OK</v>
      </c>
      <c r="E19" s="6"/>
      <c r="F19" s="21" t="str">
        <f>IF(AND(F13&lt;F14,F14&lt;F15,F15&lt;F16,F16&lt;F17),"OK","Error!")</f>
        <v>OK</v>
      </c>
      <c r="G19" s="6"/>
      <c r="H19" s="21" t="str">
        <f>IF(AND(H13&gt;H14,H14&gt;H15,H15&gt;H16,H16&gt;H17),"OK","Error!")</f>
        <v>OK</v>
      </c>
      <c r="I19" s="6"/>
      <c r="J19" s="6"/>
      <c r="K19" s="6"/>
      <c r="L19" s="6"/>
      <c r="M19" s="6"/>
      <c r="N19" s="21"/>
      <c r="O19" s="21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BF68-86FD-4164-B6F3-B480E1743C93}">
  <sheetPr>
    <pageSetUpPr fitToPage="1"/>
  </sheetPr>
  <dimension ref="A1:U21"/>
  <sheetViews>
    <sheetView workbookViewId="0">
      <selection activeCell="O26" sqref="O26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0.140625" bestFit="1" customWidth="1"/>
    <col min="6" max="6" width="15.28515625" customWidth="1"/>
    <col min="7" max="7" width="20.28515625" customWidth="1"/>
    <col min="8" max="8" width="27.28515625" bestFit="1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19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Parameters!D5</f>
        <v>0.08</v>
      </c>
    </row>
    <row r="5" spans="1:21" x14ac:dyDescent="0.25">
      <c r="A5" t="s">
        <v>4</v>
      </c>
      <c r="C5" s="1">
        <f>Parameters!D6</f>
        <v>0.05</v>
      </c>
    </row>
    <row r="6" spans="1:21" x14ac:dyDescent="0.25">
      <c r="A6" t="s">
        <v>1</v>
      </c>
      <c r="C6" s="1">
        <f>Parameters!D7</f>
        <v>0.03</v>
      </c>
    </row>
    <row r="8" spans="1:21" x14ac:dyDescent="0.25">
      <c r="A8" s="9" t="s">
        <v>31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15.850000000000001</v>
      </c>
      <c r="D9" s="5" t="str">
        <f>IF(AND(C9&lt;Scenario1!C9,C9&lt;Scenario2!C9),"OK","Error")</f>
        <v>OK</v>
      </c>
    </row>
    <row r="10" spans="1:21" x14ac:dyDescent="0.25">
      <c r="A10" t="s">
        <v>34</v>
      </c>
      <c r="C10" s="3">
        <f>(1+$C$4)*(1-((1+$C$6)/(1+$C$4))^(Parameters!$B$12-Parameters!$B$11))/($C$4-$C$6)</f>
        <v>14.996252160554254</v>
      </c>
      <c r="D10" s="5" t="str">
        <f>IF(AND(C10&lt;Scenario1!C10,C10&lt;Scenario2!C10),"OK","Error")</f>
        <v>OK</v>
      </c>
    </row>
    <row r="11" spans="1:21" x14ac:dyDescent="0.25">
      <c r="J11" s="26" t="s">
        <v>6</v>
      </c>
      <c r="K11" s="26"/>
      <c r="L11" s="26" t="s">
        <v>7</v>
      </c>
      <c r="M11" s="26"/>
      <c r="N11" s="27" t="s">
        <v>37</v>
      </c>
      <c r="O11" s="27"/>
    </row>
    <row r="12" spans="1:21" s="23" customFormat="1" ht="36" customHeight="1" x14ac:dyDescent="0.25">
      <c r="A12" s="22" t="s">
        <v>0</v>
      </c>
      <c r="B12" s="22" t="s">
        <v>43</v>
      </c>
      <c r="C12" s="22" t="s">
        <v>44</v>
      </c>
      <c r="D12" s="22" t="s">
        <v>33</v>
      </c>
      <c r="E12" s="22" t="s">
        <v>45</v>
      </c>
      <c r="F12" s="22" t="s">
        <v>46</v>
      </c>
      <c r="G12" s="22" t="s">
        <v>36</v>
      </c>
      <c r="H12" s="22" t="s">
        <v>47</v>
      </c>
      <c r="I12" s="22" t="s">
        <v>48</v>
      </c>
      <c r="J12" s="22" t="s">
        <v>49</v>
      </c>
      <c r="K12" s="22" t="s">
        <v>35</v>
      </c>
      <c r="L12" s="22" t="s">
        <v>49</v>
      </c>
      <c r="M12" s="22" t="s">
        <v>35</v>
      </c>
      <c r="N12" s="25" t="s">
        <v>38</v>
      </c>
      <c r="O12" s="25" t="s">
        <v>39</v>
      </c>
      <c r="P12" s="22"/>
      <c r="Q12" s="22"/>
      <c r="R12" s="22"/>
      <c r="S12" s="22"/>
      <c r="T12" s="22"/>
      <c r="U12" s="22"/>
    </row>
    <row r="13" spans="1:21" x14ac:dyDescent="0.25">
      <c r="A13">
        <f>Parameters!F5</f>
        <v>20</v>
      </c>
      <c r="B13">
        <f>Parameters!G5</f>
        <v>0</v>
      </c>
      <c r="C13">
        <f>Parameters!H5</f>
        <v>20</v>
      </c>
      <c r="D13">
        <f>Parameters!$B$11-$A13</f>
        <v>45</v>
      </c>
      <c r="E13" s="3">
        <f>$C13*(1+$C$5)^$D13</f>
        <v>179.70015586985625</v>
      </c>
      <c r="F13" s="3">
        <f>B13*(1+$C$4)^D13</f>
        <v>0</v>
      </c>
      <c r="G13" s="3">
        <f>((1+$C$4)^(D13)-(1+$C$5)^D13)/($C$4-$C$5)</f>
        <v>764.51471989334755</v>
      </c>
      <c r="H13" s="3">
        <f>Parameters!$B$13*Scenario3!C13*(1+Scenario3!$C$4)*Scenario3!G13</f>
        <v>2477.0276924544464</v>
      </c>
      <c r="I13" s="3">
        <f>F13+H13</f>
        <v>2477.0276924544464</v>
      </c>
      <c r="J13" s="3">
        <f>I13/$C$9</f>
        <v>156.27934968166852</v>
      </c>
      <c r="K13" s="24">
        <f>J13/E13</f>
        <v>0.86966730176266671</v>
      </c>
      <c r="L13" s="3">
        <f>I13/$C$10</f>
        <v>165.17644981790548</v>
      </c>
      <c r="M13" s="24">
        <f>L13/E13</f>
        <v>0.91917811099468816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Parameters!F6</f>
        <v>30</v>
      </c>
      <c r="B14">
        <f>Parameters!G6</f>
        <v>10</v>
      </c>
      <c r="C14">
        <f>Parameters!H6</f>
        <v>25</v>
      </c>
      <c r="D14">
        <f>Parameters!$B$11-$A14</f>
        <v>35</v>
      </c>
      <c r="E14" s="3">
        <f>$C14*(1+$C$5)^$D14</f>
        <v>137.90038418980629</v>
      </c>
      <c r="F14" s="3">
        <f t="shared" ref="F14:F17" si="0">B14*(1+$C$4)^D14</f>
        <v>147.85344294320561</v>
      </c>
      <c r="G14" s="3">
        <f t="shared" ref="G14:G17" si="1">((1+$C$4)^(D14)-(1+$C$5)^D14)/($C$4-$C$5)</f>
        <v>308.9776308909436</v>
      </c>
      <c r="H14" s="3">
        <f>Parameters!$B$13*Scenario3!C14*(1+Scenario3!$C$4)*Scenario3!G14</f>
        <v>1251.3594051083219</v>
      </c>
      <c r="I14" s="3">
        <f t="shared" ref="I14:I17" si="2">F14+H14</f>
        <v>1399.2128480515275</v>
      </c>
      <c r="J14" s="3">
        <f t="shared" ref="J14:J17" si="3">I14/$C$9</f>
        <v>88.278413126279332</v>
      </c>
      <c r="K14" s="24">
        <f t="shared" ref="K14:K17" si="4">J14/E14</f>
        <v>0.6401607482454349</v>
      </c>
      <c r="L14" s="3">
        <f t="shared" ref="L14:L17" si="5">I14/$C$10</f>
        <v>93.304169139805481</v>
      </c>
      <c r="M14" s="24">
        <f t="shared" ref="M14:M17" si="6">L14/E14</f>
        <v>0.67660557791761833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Parameters!F7</f>
        <v>40</v>
      </c>
      <c r="B15">
        <f>Parameters!G7</f>
        <v>25</v>
      </c>
      <c r="C15">
        <f>Parameters!H7</f>
        <v>30</v>
      </c>
      <c r="D15">
        <f>Parameters!$B$11-$A15</f>
        <v>25</v>
      </c>
      <c r="E15" s="3">
        <f>$C15*(1+$C$5)^$D15</f>
        <v>101.59064822698157</v>
      </c>
      <c r="F15" s="3">
        <f t="shared" si="0"/>
        <v>171.21187990548313</v>
      </c>
      <c r="G15" s="3">
        <f t="shared" si="1"/>
        <v>115.40400851066464</v>
      </c>
      <c r="H15" s="3">
        <f>Parameters!$B$13*Scenario3!C15*(1+Scenario3!$C$4)*Scenario3!G15</f>
        <v>560.86348136183017</v>
      </c>
      <c r="I15" s="3">
        <f t="shared" si="2"/>
        <v>732.07536126731327</v>
      </c>
      <c r="J15" s="3">
        <f t="shared" si="3"/>
        <v>46.187719953773701</v>
      </c>
      <c r="K15" s="24">
        <f t="shared" si="4"/>
        <v>0.45464539069164689</v>
      </c>
      <c r="L15" s="3">
        <f t="shared" si="5"/>
        <v>48.817221358343453</v>
      </c>
      <c r="M15" s="24">
        <f t="shared" si="6"/>
        <v>0.48052869245673374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Parameters!F8</f>
        <v>50</v>
      </c>
      <c r="B16">
        <f>Parameters!G8</f>
        <v>50</v>
      </c>
      <c r="C16">
        <f>Parameters!H8</f>
        <v>35</v>
      </c>
      <c r="D16">
        <f>Parameters!$B$11-$A16</f>
        <v>15</v>
      </c>
      <c r="E16" s="3">
        <f>$C16*(1+$C$5)^$D16</f>
        <v>72.762486279397876</v>
      </c>
      <c r="F16" s="3">
        <f t="shared" si="0"/>
        <v>158.60845570991358</v>
      </c>
      <c r="G16" s="3">
        <f t="shared" si="1"/>
        <v>36.441364492896788</v>
      </c>
      <c r="H16" s="3">
        <f>Parameters!$B$13*Scenario3!C16*(1+Scenario3!$C$4)*Scenario3!G16</f>
        <v>206.62253667472478</v>
      </c>
      <c r="I16" s="3">
        <f t="shared" si="2"/>
        <v>365.2309923846384</v>
      </c>
      <c r="J16" s="3">
        <f t="shared" si="3"/>
        <v>23.042964819220085</v>
      </c>
      <c r="K16" s="24">
        <f t="shared" si="4"/>
        <v>0.31668743053581605</v>
      </c>
      <c r="L16" s="3">
        <f t="shared" si="5"/>
        <v>24.354818022154387</v>
      </c>
      <c r="M16" s="24">
        <f t="shared" si="6"/>
        <v>0.33471668255858184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Parameters!F9</f>
        <v>60</v>
      </c>
      <c r="B17">
        <f>Parameters!G9</f>
        <v>100</v>
      </c>
      <c r="C17">
        <f>Parameters!H9</f>
        <v>40</v>
      </c>
      <c r="D17">
        <f>Parameters!$B$11-$A17</f>
        <v>5</v>
      </c>
      <c r="E17" s="3">
        <f>$C17*(1+$C$5)^$D17</f>
        <v>51.051262500000007</v>
      </c>
      <c r="F17" s="3">
        <f t="shared" si="0"/>
        <v>146.93280768000002</v>
      </c>
      <c r="G17" s="3">
        <f t="shared" si="1"/>
        <v>6.4348838100000068</v>
      </c>
      <c r="H17" s="3">
        <f>Parameters!$B$13*Scenario3!C17*(1+Scenario3!$C$4)*Scenario3!G17</f>
        <v>41.698047088800045</v>
      </c>
      <c r="I17" s="3">
        <f t="shared" si="2"/>
        <v>188.63085476880008</v>
      </c>
      <c r="J17" s="3">
        <f t="shared" si="3"/>
        <v>11.901000300870667</v>
      </c>
      <c r="K17" s="24">
        <f t="shared" si="4"/>
        <v>0.23311862857202925</v>
      </c>
      <c r="L17" s="3">
        <f t="shared" si="5"/>
        <v>12.578533139431311</v>
      </c>
      <c r="M17" s="24">
        <f t="shared" si="6"/>
        <v>0.24639024626337711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1" t="str">
        <f>IF(AVERAGE(D13:D17)+AVERAGE(A13:A17)=Parameters!$B$11,"OK","Error!")</f>
        <v>OK</v>
      </c>
      <c r="E19" s="6"/>
      <c r="F19" s="21" t="str">
        <f>IF(AND(F13&lt;F14,F14&lt;F15,F15&lt;F16,F16&lt;F17),"OK","Error!")</f>
        <v>Error!</v>
      </c>
      <c r="G19" s="6"/>
      <c r="H19" s="21" t="str">
        <f>IF(AND(H13&gt;H14,H14&gt;H15,H15&gt;H16,H16&gt;H17),"OK","Error!")</f>
        <v>OK</v>
      </c>
      <c r="I19" s="6"/>
      <c r="J19" s="6"/>
      <c r="K19" s="6"/>
      <c r="L19" s="6"/>
      <c r="M19" s="6"/>
      <c r="N19" s="21"/>
      <c r="O19" s="21"/>
      <c r="P19" s="7"/>
      <c r="Q19" s="7"/>
      <c r="R19" s="8"/>
      <c r="S19" s="7"/>
      <c r="T19" s="8"/>
      <c r="U19" s="5"/>
    </row>
    <row r="20" spans="1:21" x14ac:dyDescent="0.25">
      <c r="F20" s="5" t="s">
        <v>40</v>
      </c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3"/>
  <sheetViews>
    <sheetView workbookViewId="0">
      <selection activeCell="F18" sqref="F18"/>
    </sheetView>
  </sheetViews>
  <sheetFormatPr defaultRowHeight="15" x14ac:dyDescent="0.25"/>
  <cols>
    <col min="1" max="1" width="6.140625" customWidth="1"/>
    <col min="2" max="2" width="13.28515625" bestFit="1" customWidth="1"/>
    <col min="3" max="3" width="10" bestFit="1" customWidth="1"/>
    <col min="4" max="4" width="8.85546875" customWidth="1"/>
    <col min="5" max="5" width="10.140625" bestFit="1" customWidth="1"/>
    <col min="6" max="6" width="8.7109375" customWidth="1"/>
    <col min="7" max="7" width="10.140625" bestFit="1" customWidth="1"/>
    <col min="8" max="8" width="8.7109375" customWidth="1"/>
    <col min="9" max="9" width="10.140625" bestFit="1" customWidth="1"/>
  </cols>
  <sheetData>
    <row r="1" spans="1:9" x14ac:dyDescent="0.25">
      <c r="A1" s="16" t="s">
        <v>24</v>
      </c>
    </row>
    <row r="3" spans="1:9" x14ac:dyDescent="0.25">
      <c r="D3" s="15" t="s">
        <v>17</v>
      </c>
      <c r="E3" s="15"/>
      <c r="F3" s="15" t="s">
        <v>18</v>
      </c>
      <c r="G3" s="15"/>
      <c r="H3" s="15" t="s">
        <v>19</v>
      </c>
      <c r="I3" s="15"/>
    </row>
    <row r="4" spans="1:9" x14ac:dyDescent="0.25">
      <c r="A4" s="2" t="s">
        <v>0</v>
      </c>
      <c r="B4" s="2" t="s">
        <v>41</v>
      </c>
      <c r="C4" s="2" t="s">
        <v>42</v>
      </c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</row>
    <row r="5" spans="1:9" x14ac:dyDescent="0.25">
      <c r="A5">
        <f>Parameters!F5</f>
        <v>20</v>
      </c>
      <c r="B5">
        <f>Parameters!G5</f>
        <v>0</v>
      </c>
      <c r="C5">
        <f>Parameters!H5</f>
        <v>20</v>
      </c>
      <c r="D5" s="1">
        <f>Scenario1!K13</f>
        <v>0.44953790214879025</v>
      </c>
      <c r="E5" s="1">
        <f>Scenario1!M13</f>
        <v>0.47228090186826632</v>
      </c>
      <c r="F5" s="1">
        <f>Scenario2!K13</f>
        <v>0.6197708121496176</v>
      </c>
      <c r="G5" s="1">
        <f>Scenario2!M13</f>
        <v>0.65876123005553866</v>
      </c>
      <c r="H5" s="1">
        <f>Scenario3!K13</f>
        <v>0.86966730176266671</v>
      </c>
      <c r="I5" s="1">
        <f>Scenario3!M13</f>
        <v>0.91917811099468816</v>
      </c>
    </row>
    <row r="6" spans="1:9" x14ac:dyDescent="0.25">
      <c r="A6">
        <f>Parameters!F6</f>
        <v>30</v>
      </c>
      <c r="B6">
        <f>Parameters!G6</f>
        <v>10</v>
      </c>
      <c r="C6">
        <f>Parameters!H6</f>
        <v>25</v>
      </c>
      <c r="D6" s="1">
        <f>Scenario1!K14</f>
        <v>0.36179853106228338</v>
      </c>
      <c r="E6" s="1">
        <f>Scenario1!M14</f>
        <v>0.38010262477968682</v>
      </c>
      <c r="F6" s="1">
        <f>Scenario2!K14</f>
        <v>0.47781075149889568</v>
      </c>
      <c r="G6" s="1">
        <f>Scenario2!M14</f>
        <v>0.50787031628586521</v>
      </c>
      <c r="H6" s="1">
        <f>Scenario3!K14</f>
        <v>0.6401607482454349</v>
      </c>
      <c r="I6" s="1">
        <f>Scenario3!M14</f>
        <v>0.67660557791761833</v>
      </c>
    </row>
    <row r="7" spans="1:9" x14ac:dyDescent="0.25">
      <c r="A7">
        <f>Parameters!F7</f>
        <v>40</v>
      </c>
      <c r="B7">
        <f>Parameters!G7</f>
        <v>25</v>
      </c>
      <c r="C7">
        <f>Parameters!H7</f>
        <v>30</v>
      </c>
      <c r="D7" s="1">
        <f>Scenario1!K15</f>
        <v>0.28165187191997065</v>
      </c>
      <c r="E7" s="1">
        <f>Scenario1!M15</f>
        <v>0.29590118974933949</v>
      </c>
      <c r="F7" s="1">
        <f>Scenario2!K15</f>
        <v>0.35579036032652567</v>
      </c>
      <c r="G7" s="1">
        <f>Scenario2!M15</f>
        <v>0.37817349706688674</v>
      </c>
      <c r="H7" s="1">
        <f>Scenario3!K15</f>
        <v>0.45464539069164689</v>
      </c>
      <c r="I7" s="1">
        <f>Scenario3!M15</f>
        <v>0.48052869245673374</v>
      </c>
    </row>
    <row r="8" spans="1:9" x14ac:dyDescent="0.25">
      <c r="A8">
        <f>Parameters!F8</f>
        <v>50</v>
      </c>
      <c r="B8">
        <f>Parameters!G8</f>
        <v>50</v>
      </c>
      <c r="C8">
        <f>Parameters!H8</f>
        <v>35</v>
      </c>
      <c r="D8" s="1">
        <f>Scenario1!K16</f>
        <v>0.21610043074119423</v>
      </c>
      <c r="E8" s="1">
        <f>Scenario1!M16</f>
        <v>0.22703337324111034</v>
      </c>
      <c r="F8" s="1">
        <f>Scenario2!K16</f>
        <v>0.26036133387623023</v>
      </c>
      <c r="G8" s="1">
        <f>Scenario2!M16</f>
        <v>0.27674093261720256</v>
      </c>
      <c r="H8" s="1">
        <f>Scenario3!K16</f>
        <v>0.31668743053581605</v>
      </c>
      <c r="I8" s="1">
        <f>Scenario3!M16</f>
        <v>0.33471668255858184</v>
      </c>
    </row>
    <row r="9" spans="1:9" x14ac:dyDescent="0.25">
      <c r="A9">
        <f>Parameters!F9</f>
        <v>60</v>
      </c>
      <c r="B9">
        <f>Parameters!G9</f>
        <v>100</v>
      </c>
      <c r="C9">
        <f>Parameters!H9</f>
        <v>40</v>
      </c>
      <c r="D9" s="1">
        <f>Scenario1!K17</f>
        <v>0.17967556661041276</v>
      </c>
      <c r="E9" s="1">
        <f>Scenario1!M17</f>
        <v>0.18876570415273014</v>
      </c>
      <c r="F9" s="1">
        <f>Scenario2!K17</f>
        <v>0.20368991474804393</v>
      </c>
      <c r="G9" s="1">
        <f>Scenario2!M17</f>
        <v>0.21650425634587067</v>
      </c>
      <c r="H9" s="1">
        <f>Scenario3!K17</f>
        <v>0.23311862857202925</v>
      </c>
      <c r="I9" s="1">
        <f>Scenario3!M17</f>
        <v>0.24639024626337711</v>
      </c>
    </row>
    <row r="15" spans="1:9" x14ac:dyDescent="0.25">
      <c r="I15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1" spans="9:9" x14ac:dyDescent="0.25">
      <c r="I21" s="3"/>
    </row>
    <row r="23" spans="9:9" x14ac:dyDescent="0.25">
      <c r="I23" s="3"/>
    </row>
  </sheetData>
  <pageMargins left="0.7" right="0.7" top="0.75" bottom="0.75" header="0.3" footer="0.3"/>
  <pageSetup paperSize="9" scale="76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/>
  </sheetViews>
  <sheetFormatPr defaultRowHeight="15" x14ac:dyDescent="0.25"/>
  <cols>
    <col min="1" max="1" width="6.85546875" bestFit="1" customWidth="1"/>
    <col min="3" max="3" width="10.140625" bestFit="1" customWidth="1"/>
    <col min="4" max="4" width="5.5703125" customWidth="1"/>
  </cols>
  <sheetData>
    <row r="1" spans="1:3" x14ac:dyDescent="0.25">
      <c r="A1" s="16" t="s">
        <v>23</v>
      </c>
    </row>
    <row r="3" spans="1:3" x14ac:dyDescent="0.25">
      <c r="A3" s="15" t="s">
        <v>28</v>
      </c>
      <c r="B3" s="20"/>
      <c r="C3" s="20"/>
    </row>
    <row r="4" spans="1:3" x14ac:dyDescent="0.25">
      <c r="A4" s="2" t="s">
        <v>0</v>
      </c>
      <c r="B4" s="2" t="s">
        <v>6</v>
      </c>
      <c r="C4" s="2" t="s">
        <v>7</v>
      </c>
    </row>
    <row r="5" spans="1:3" x14ac:dyDescent="0.25">
      <c r="A5">
        <f>Scenario2!A13</f>
        <v>20</v>
      </c>
      <c r="B5" s="1">
        <f>Scenario2!K13</f>
        <v>0.6197708121496176</v>
      </c>
      <c r="C5" s="1">
        <f>Scenario2!M13</f>
        <v>0.65876123005553866</v>
      </c>
    </row>
    <row r="6" spans="1:3" x14ac:dyDescent="0.25">
      <c r="A6">
        <f>Scenario2!A14</f>
        <v>30</v>
      </c>
      <c r="B6" s="1">
        <f>Scenario2!K14</f>
        <v>0.47781075149889568</v>
      </c>
      <c r="C6" s="1">
        <f>Scenario2!M14</f>
        <v>0.50787031628586521</v>
      </c>
    </row>
    <row r="7" spans="1:3" x14ac:dyDescent="0.25">
      <c r="A7">
        <f>Scenario2!A15</f>
        <v>40</v>
      </c>
      <c r="B7" s="1">
        <f>Scenario2!K15</f>
        <v>0.35579036032652567</v>
      </c>
      <c r="C7" s="1">
        <f>Scenario2!M15</f>
        <v>0.37817349706688674</v>
      </c>
    </row>
    <row r="8" spans="1:3" x14ac:dyDescent="0.25">
      <c r="A8">
        <f>Scenario2!A16</f>
        <v>50</v>
      </c>
      <c r="B8" s="1">
        <f>Scenario2!K16</f>
        <v>0.26036133387623023</v>
      </c>
      <c r="C8" s="1">
        <f>Scenario2!M16</f>
        <v>0.27674093261720256</v>
      </c>
    </row>
    <row r="9" spans="1:3" x14ac:dyDescent="0.25">
      <c r="A9">
        <f>Scenario2!A17</f>
        <v>60</v>
      </c>
      <c r="B9" s="1">
        <f>Scenario2!K17</f>
        <v>0.20368991474804393</v>
      </c>
      <c r="C9" s="1">
        <f>Scenario2!M17</f>
        <v>0.21650425634587067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FC43B329-F61C-422F-BEFC-3A872BECE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43060-1EB1-472D-99C8-2A08FC40C718}"/>
</file>

<file path=customXml/itemProps3.xml><?xml version="1.0" encoding="utf-8"?>
<ds:datastoreItem xmlns:ds="http://schemas.openxmlformats.org/officeDocument/2006/customXml" ds:itemID="{ED2A2F23-F3E7-4162-907C-0C891A2C233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80348ba6-adcc-40fb-8576-6b95a36a3021"/>
    <ds:schemaRef ds:uri="http://purl.org/dc/elements/1.1/"/>
    <ds:schemaRef ds:uri="http://purl.org/dc/terms/"/>
    <ds:schemaRef ds:uri="http://schemas.microsoft.com/office/infopath/2007/PartnerControls"/>
    <ds:schemaRef ds:uri="051538e9-c694-450b-9056-83c8e7b681d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RawData</vt:lpstr>
      <vt:lpstr>CleanData</vt:lpstr>
      <vt:lpstr>Parameters</vt:lpstr>
      <vt:lpstr>Scenario1</vt:lpstr>
      <vt:lpstr>Scenario2</vt:lpstr>
      <vt:lpstr>Scenario3</vt:lpstr>
      <vt:lpstr>Table</vt:lpstr>
      <vt:lpstr>Graph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cp:lastPrinted>2014-11-11T17:29:21Z</cp:lastPrinted>
  <dcterms:created xsi:type="dcterms:W3CDTF">2014-09-04T09:09:23Z</dcterms:created>
  <dcterms:modified xsi:type="dcterms:W3CDTF">2022-04-27T14:45:34Z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